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<sst xmlns="http://schemas.openxmlformats.org/spreadsheetml/2006/main" count="159" uniqueCount="113">
  <si>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</si>
  <si>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</si>
  <si>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</si>
  <si>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</si>
  <si>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</si>
  <si>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</si>
  <si>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</si>
  <si>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</si>
  <si>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</si>
  <si>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</si>
  <si>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</si>
  <si>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</si>
  <si>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</si>
  <si>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</si>
  <si>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</si>
  <si>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</si>
  <si>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</si>
  <si>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</si>
  <si>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</si>
  <si>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</si>
  <si>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</si>
  <si>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</si>
  <si>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</si>
  <si>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</si>
  <si>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</si>
  <si>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</si>
  <si>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</si>
  <si>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</si>
  <si>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</si>
  <si>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</si>
  <si>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</si>
  <si>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</si>
  <si>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</si>
  <si>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</si>
  <si>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</si>
  <si>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</si>
  <si>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</si>
  <si>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</si>
  <si>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</si>
  <si>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</si>
  <si>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</si>
  <si>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</si>
  <si>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</si>
  <si>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</si>
  <si>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</si>
  <si>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</si>
  <si>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</si>
  <si>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</si>
  <si>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</si>
  <si>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</si>
  <si>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</si>
  <si>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</si>
  <si>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</si>
  <si>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</si>
  <si>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</si>
  <si>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</si>
  <si>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</si>
  <si>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</si>
  <si>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</si>
  <si>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</si>
  <si>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</si>
  <si>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</si>
  <si>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</si>
  <si>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</si>
  <si>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</si>
  <si>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</si>
  <si>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</si>
  <si>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</si>
  <si>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</si>
  <si>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</si>
  <si>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</si>
  <si>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</si>
  <si>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</si>
  <si>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</si>
  <si>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</si>
  <si>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</si>
  <si>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</si>
  <si>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</si>
  <si>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</si>
  <si>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</si>
  <si>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</si>
  <si>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</si>
  <si>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</si>
  <si>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</si>
  <si>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</si>
  <si>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</si>
  <si>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</si>
  <si>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</si>
  <si>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</si>
  <si>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</si>
  <si>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</si>
  <si>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</si>
  <si>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</si>
  <si>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</si>
  <si>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</si>
  <si>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</si>
  <si>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</si>
  <si>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</si>
  <si>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</si>
  <si>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</si>
  <si>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</si>
  <si>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</si>
  <si>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</si>
  <si>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</si>
  <si>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</si>
  <si>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</si>
  <si>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</si>
  <si>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тимчасового плану на 1 півряччя, тис.грн.</t>
  </si>
  <si>
    <t>Реверсна дотація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</si>
  <si>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</si>
  <si>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</si>
  <si>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</si>
  <si>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2015 рік станом на 05.02.2015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</si>
</sst>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3139.2999999999997</c:v>
                </c:pt>
                <c:pt idx="1">
                  <c:v>2761.9</c:v>
                </c:pt>
                <c:pt idx="2">
                  <c:v>16</c:v>
                </c:pt>
                <c:pt idx="3">
                  <c:v>361.39999999999964</c:v>
                </c:pt>
              </c:numCache>
            </c:numRef>
          </c:val>
          <c:shape val="box"/>
        </c:ser>
        <c:shape val="box"/>
        <c:axId val="53382725"/>
        <c:axId val="10682478"/>
      </c:bar3D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21555.9</c:v>
                </c:pt>
                <c:pt idx="1">
                  <c:v>19172.7</c:v>
                </c:pt>
                <c:pt idx="3">
                  <c:v>1219.3</c:v>
                </c:pt>
                <c:pt idx="4">
                  <c:v>1111.8</c:v>
                </c:pt>
                <c:pt idx="5">
                  <c:v>3.8</c:v>
                </c:pt>
                <c:pt idx="6">
                  <c:v>48.30000000000082</c:v>
                </c:pt>
              </c:numCache>
            </c:numRef>
          </c:val>
          <c:shape val="box"/>
        </c:ser>
        <c:shape val="box"/>
        <c:axId val="29033439"/>
        <c:axId val="59974360"/>
      </c:bar3D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13526.2</c:v>
                </c:pt>
                <c:pt idx="1">
                  <c:v>12327</c:v>
                </c:pt>
                <c:pt idx="2">
                  <c:v>11</c:v>
                </c:pt>
                <c:pt idx="3">
                  <c:v>192.9</c:v>
                </c:pt>
                <c:pt idx="4">
                  <c:v>270.8</c:v>
                </c:pt>
                <c:pt idx="5">
                  <c:v>111</c:v>
                </c:pt>
                <c:pt idx="6">
                  <c:v>613.5000000000007</c:v>
                </c:pt>
              </c:numCache>
            </c:numRef>
          </c:val>
          <c:shape val="box"/>
        </c:ser>
        <c:shape val="box"/>
        <c:axId val="2898329"/>
        <c:axId val="26084962"/>
      </c:bar3D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3269.9999999999995</c:v>
                </c:pt>
                <c:pt idx="1">
                  <c:v>2280.7000000000003</c:v>
                </c:pt>
                <c:pt idx="2">
                  <c:v>43.900000000000006</c:v>
                </c:pt>
                <c:pt idx="3">
                  <c:v>43.300000000000004</c:v>
                </c:pt>
                <c:pt idx="4">
                  <c:v>3.4</c:v>
                </c:pt>
                <c:pt idx="5">
                  <c:v>898.6999999999994</c:v>
                </c:pt>
              </c:numCache>
            </c:numRef>
          </c:val>
          <c:shape val="box"/>
        </c:ser>
        <c:shape val="box"/>
        <c:axId val="33438067"/>
        <c:axId val="32507148"/>
      </c:bar3D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901.5000000000001</c:v>
                </c:pt>
                <c:pt idx="1">
                  <c:v>650.6999999999999</c:v>
                </c:pt>
                <c:pt idx="3">
                  <c:v>8.7</c:v>
                </c:pt>
                <c:pt idx="4">
                  <c:v>242.1000000000002</c:v>
                </c:pt>
              </c:numCache>
            </c:numRef>
          </c:val>
          <c:shape val="box"/>
        </c:ser>
        <c:shape val="box"/>
        <c:axId val="24128877"/>
        <c:axId val="15833302"/>
      </c:bar3D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3302"/>
        <c:crosses val="autoZero"/>
        <c:auto val="1"/>
        <c:lblOffset val="100"/>
        <c:tickLblSkip val="2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109.89999999999999</c:v>
                </c:pt>
                <c:pt idx="1">
                  <c:v>101.69999999999999</c:v>
                </c:pt>
                <c:pt idx="3">
                  <c:v>1.3</c:v>
                </c:pt>
                <c:pt idx="5">
                  <c:v>6.900000000000003</c:v>
                </c:pt>
              </c:numCache>
            </c:numRef>
          </c:val>
          <c:shape val="box"/>
        </c:ser>
        <c:shape val="box"/>
        <c:axId val="8281991"/>
        <c:axId val="7429056"/>
      </c:bar3D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4646.799999999999</c:v>
                </c:pt>
              </c:numCache>
            </c:numRef>
          </c:val>
          <c:shape val="box"/>
        </c:ser>
        <c:shape val="box"/>
        <c:axId val="66861505"/>
        <c:axId val="64882634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21555.9</c:v>
                </c:pt>
                <c:pt idx="1">
                  <c:v>13526.2</c:v>
                </c:pt>
                <c:pt idx="2">
                  <c:v>3269.9999999999995</c:v>
                </c:pt>
                <c:pt idx="3">
                  <c:v>901.5000000000001</c:v>
                </c:pt>
                <c:pt idx="4">
                  <c:v>109.89999999999999</c:v>
                </c:pt>
                <c:pt idx="5">
                  <c:v>3139.2999999999997</c:v>
                </c:pt>
                <c:pt idx="6">
                  <c:v>4646.799999999999</c:v>
                </c:pt>
              </c:numCache>
            </c:numRef>
          </c:val>
          <c:shape val="box"/>
        </c:ser>
        <c:shape val="box"/>
        <c:axId val="47072795"/>
        <c:axId val="21001972"/>
      </c:bar3D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37796.5</c:v>
                </c:pt>
                <c:pt idx="1">
                  <c:v>1457.2</c:v>
                </c:pt>
                <c:pt idx="2">
                  <c:v>1412.2</c:v>
                </c:pt>
                <c:pt idx="3">
                  <c:v>375.4</c:v>
                </c:pt>
                <c:pt idx="4">
                  <c:v>11</c:v>
                </c:pt>
                <c:pt idx="5">
                  <c:v>8816.600000000008</c:v>
                </c:pt>
              </c:numCache>
            </c:numRef>
          </c:val>
          <c:shape val="box"/>
        </c:ser>
        <c:shape val="box"/>
        <c:axId val="54800021"/>
        <c:axId val="23438142"/>
      </c:bar3D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1" t="s">
        <v>112</v>
      </c>
      <c r="B1" s="121"/>
      <c r="C1" s="121"/>
      <c r="D1" s="121"/>
      <c r="E1" s="121"/>
      <c r="F1" s="121"/>
      <c r="G1" s="121"/>
      <c r="H1" s="121"/>
      <c r="I1" s="121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109</v>
      </c>
      <c r="C3" s="122" t="s">
        <v>105</v>
      </c>
      <c r="D3" s="122" t="s">
        <v>29</v>
      </c>
      <c r="E3" s="122" t="s">
        <v>28</v>
      </c>
      <c r="F3" s="122" t="s">
        <v>110</v>
      </c>
      <c r="G3" s="122" t="s">
        <v>106</v>
      </c>
      <c r="H3" s="122" t="s">
        <v>111</v>
      </c>
      <c r="I3" s="122" t="s">
        <v>107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28" t="s">
        <v>34</v>
      </c>
      <c r="B6" s="52">
        <v>48868</v>
      </c>
      <c r="C6" s="53">
        <v>146604.2</v>
      </c>
      <c r="D6" s="54">
        <f>3778.8+318.6+74.4+4544.7+5310.3+2.2+304.5+4240.2+102.2+2722+99+59</f>
        <v>21555.9</v>
      </c>
      <c r="E6" s="3">
        <f>D6/D137*100</f>
        <v>43.225136307397996</v>
      </c>
      <c r="F6" s="3">
        <f>D6/B6*100</f>
        <v>44.11046083326512</v>
      </c>
      <c r="G6" s="3">
        <f aca="true" t="shared" si="0" ref="G6:G41">D6/C6*100</f>
        <v>14.703466885669034</v>
      </c>
      <c r="H6" s="3">
        <f>B6-D6</f>
        <v>27312.1</v>
      </c>
      <c r="I6" s="3">
        <f aca="true" t="shared" si="1" ref="I6:I41">C6-D6</f>
        <v>125048.30000000002</v>
      </c>
    </row>
    <row r="7" spans="1:9" ht="18">
      <c r="A7" s="29" t="s">
        <v>3</v>
      </c>
      <c r="B7" s="49">
        <v>40232.9</v>
      </c>
      <c r="C7" s="50">
        <f>120690.6-38.1</f>
        <v>120652.5</v>
      </c>
      <c r="D7" s="51">
        <f>2656.8+4544.7+5310.3+304.5+4240.2+2115.7+0.5</f>
        <v>19172.7</v>
      </c>
      <c r="E7" s="1">
        <f>D7/D6*100</f>
        <v>88.9440941923093</v>
      </c>
      <c r="F7" s="1">
        <f>D7/B7*100</f>
        <v>47.65428293759585</v>
      </c>
      <c r="G7" s="1">
        <f t="shared" si="0"/>
        <v>15.890843538260707</v>
      </c>
      <c r="H7" s="1">
        <f>B7-D7</f>
        <v>21060.2</v>
      </c>
      <c r="I7" s="1">
        <f t="shared" si="1"/>
        <v>101479.8</v>
      </c>
    </row>
    <row r="8" spans="1:9" ht="18">
      <c r="A8" s="29" t="s">
        <v>2</v>
      </c>
      <c r="B8" s="49">
        <v>0.6</v>
      </c>
      <c r="C8" s="50">
        <f>6.2-2</f>
        <v>4.2</v>
      </c>
      <c r="D8" s="51"/>
      <c r="E8" s="12">
        <f>D8/D6*100</f>
        <v>0</v>
      </c>
      <c r="F8" s="118">
        <f>D8/B8*100</f>
        <v>0</v>
      </c>
      <c r="G8" s="1">
        <f t="shared" si="0"/>
        <v>0</v>
      </c>
      <c r="H8" s="1">
        <f aca="true" t="shared" si="2" ref="H8:H41">B8-D8</f>
        <v>0.6</v>
      </c>
      <c r="I8" s="1">
        <f t="shared" si="1"/>
        <v>4.2</v>
      </c>
    </row>
    <row r="9" spans="1:9" ht="18">
      <c r="A9" s="29" t="s">
        <v>1</v>
      </c>
      <c r="B9" s="49">
        <v>3499.4</v>
      </c>
      <c r="C9" s="50">
        <v>10417.9</v>
      </c>
      <c r="D9" s="55">
        <f>391.1+295.4+72.7+84.3+268.2+68.6+39</f>
        <v>1219.3</v>
      </c>
      <c r="E9" s="1">
        <f>D9/D6*100</f>
        <v>5.656456005084454</v>
      </c>
      <c r="F9" s="1">
        <f aca="true" t="shared" si="3" ref="F9:F39">D9/B9*100</f>
        <v>34.84311596273646</v>
      </c>
      <c r="G9" s="1">
        <f t="shared" si="0"/>
        <v>11.703894258919743</v>
      </c>
      <c r="H9" s="1">
        <f t="shared" si="2"/>
        <v>2280.1000000000004</v>
      </c>
      <c r="I9" s="1">
        <f t="shared" si="1"/>
        <v>9198.6</v>
      </c>
    </row>
    <row r="10" spans="1:9" ht="18">
      <c r="A10" s="29" t="s">
        <v>0</v>
      </c>
      <c r="B10" s="49">
        <v>4985.3</v>
      </c>
      <c r="C10" s="50">
        <f>14766.4+34.5</f>
        <v>14800.9</v>
      </c>
      <c r="D10" s="56">
        <f>710.3+17.9+0.2+17+333.3+17.1+16</f>
        <v>1111.8</v>
      </c>
      <c r="E10" s="1">
        <f>D10/D6*100</f>
        <v>5.157752633849665</v>
      </c>
      <c r="F10" s="1">
        <f t="shared" si="3"/>
        <v>22.30156660582111</v>
      </c>
      <c r="G10" s="1">
        <f t="shared" si="0"/>
        <v>7.511705369268085</v>
      </c>
      <c r="H10" s="1">
        <f t="shared" si="2"/>
        <v>3873.5</v>
      </c>
      <c r="I10" s="1">
        <f t="shared" si="1"/>
        <v>13689.1</v>
      </c>
    </row>
    <row r="11" spans="1:9" ht="18">
      <c r="A11" s="29" t="s">
        <v>15</v>
      </c>
      <c r="B11" s="49">
        <v>23.1</v>
      </c>
      <c r="C11" s="50">
        <f>230.6+3.6</f>
        <v>234.2</v>
      </c>
      <c r="D11" s="51">
        <f>3.8</f>
        <v>3.8</v>
      </c>
      <c r="E11" s="1">
        <f>D11/D6*100</f>
        <v>0.017628584285508838</v>
      </c>
      <c r="F11" s="1">
        <f t="shared" si="3"/>
        <v>16.45021645021645</v>
      </c>
      <c r="G11" s="1">
        <f t="shared" si="0"/>
        <v>1.6225448334756618</v>
      </c>
      <c r="H11" s="1">
        <f t="shared" si="2"/>
        <v>19.3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126.69999999999837</v>
      </c>
      <c r="C12" s="50">
        <f>C6-C7-C8-C9-C10-C11</f>
        <v>494.50000000001165</v>
      </c>
      <c r="D12" s="50">
        <f>D6-D7-D8-D9-D10-D11</f>
        <v>48.30000000000082</v>
      </c>
      <c r="E12" s="1">
        <f>D12/D6*100</f>
        <v>0.22406858447107666</v>
      </c>
      <c r="F12" s="1">
        <f t="shared" si="3"/>
        <v>38.121546961327105</v>
      </c>
      <c r="G12" s="1">
        <f t="shared" si="0"/>
        <v>9.767441860465052</v>
      </c>
      <c r="H12" s="1">
        <f t="shared" si="2"/>
        <v>78.39999999999755</v>
      </c>
      <c r="I12" s="1">
        <f t="shared" si="1"/>
        <v>446.20000000001085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33405.6</v>
      </c>
      <c r="C17" s="53">
        <v>100216.8</v>
      </c>
      <c r="D17" s="54">
        <f>5164.3+574.5+4623.4+2805.2+358.8</f>
        <v>13526.2</v>
      </c>
      <c r="E17" s="3">
        <f>D17/D137*100</f>
        <v>27.12351786383898</v>
      </c>
      <c r="F17" s="3">
        <f>D17/B17*100</f>
        <v>40.490815911104725</v>
      </c>
      <c r="G17" s="3">
        <f t="shared" si="0"/>
        <v>13.496938637034908</v>
      </c>
      <c r="H17" s="3">
        <f>B17-D17</f>
        <v>19879.399999999998</v>
      </c>
      <c r="I17" s="3">
        <f t="shared" si="1"/>
        <v>86690.6</v>
      </c>
    </row>
    <row r="18" spans="1:9" ht="18">
      <c r="A18" s="29" t="s">
        <v>5</v>
      </c>
      <c r="B18" s="49">
        <v>27006.2</v>
      </c>
      <c r="C18" s="50">
        <v>81463.5</v>
      </c>
      <c r="D18" s="51">
        <f>5164.3+574.5+4352.6-225.6+2461.2</f>
        <v>12327</v>
      </c>
      <c r="E18" s="1">
        <f>D18/D17*100</f>
        <v>91.13424317250964</v>
      </c>
      <c r="F18" s="1">
        <f t="shared" si="3"/>
        <v>45.64507409409691</v>
      </c>
      <c r="G18" s="1">
        <f t="shared" si="0"/>
        <v>15.131930250971292</v>
      </c>
      <c r="H18" s="1">
        <f t="shared" si="2"/>
        <v>14679.2</v>
      </c>
      <c r="I18" s="1">
        <f t="shared" si="1"/>
        <v>69136.5</v>
      </c>
    </row>
    <row r="19" spans="1:9" ht="18">
      <c r="A19" s="29" t="s">
        <v>2</v>
      </c>
      <c r="B19" s="49">
        <v>745.7</v>
      </c>
      <c r="C19" s="50">
        <v>2601.5</v>
      </c>
      <c r="D19" s="51">
        <f>11</f>
        <v>11</v>
      </c>
      <c r="E19" s="1">
        <f>D19/D17*100</f>
        <v>0.08132365335423104</v>
      </c>
      <c r="F19" s="1">
        <f t="shared" si="3"/>
        <v>1.4751240445219256</v>
      </c>
      <c r="G19" s="1">
        <f t="shared" si="0"/>
        <v>0.42283298097251587</v>
      </c>
      <c r="H19" s="1">
        <f t="shared" si="2"/>
        <v>734.7</v>
      </c>
      <c r="I19" s="1">
        <f t="shared" si="1"/>
        <v>2590.5</v>
      </c>
    </row>
    <row r="20" spans="1:9" ht="18">
      <c r="A20" s="29" t="s">
        <v>1</v>
      </c>
      <c r="B20" s="49">
        <v>404.2</v>
      </c>
      <c r="C20" s="50">
        <v>1299.6</v>
      </c>
      <c r="D20" s="51">
        <f>173.9+19</f>
        <v>192.9</v>
      </c>
      <c r="E20" s="1">
        <f>D20/D17*100</f>
        <v>1.4261211574573789</v>
      </c>
      <c r="F20" s="1">
        <f t="shared" si="3"/>
        <v>47.72389905987136</v>
      </c>
      <c r="G20" s="1">
        <f t="shared" si="0"/>
        <v>14.843028624192062</v>
      </c>
      <c r="H20" s="1">
        <f t="shared" si="2"/>
        <v>211.29999999999998</v>
      </c>
      <c r="I20" s="1">
        <f t="shared" si="1"/>
        <v>1106.6999999999998</v>
      </c>
    </row>
    <row r="21" spans="1:9" ht="18">
      <c r="A21" s="29" t="s">
        <v>0</v>
      </c>
      <c r="B21" s="49">
        <v>3247.8</v>
      </c>
      <c r="C21" s="50">
        <v>9124.4</v>
      </c>
      <c r="D21" s="51">
        <f>96.9+173.9</f>
        <v>270.8</v>
      </c>
      <c r="E21" s="1">
        <f>D21/D17*100</f>
        <v>2.0020404843932518</v>
      </c>
      <c r="F21" s="1">
        <f t="shared" si="3"/>
        <v>8.337951844325389</v>
      </c>
      <c r="G21" s="1">
        <f t="shared" si="0"/>
        <v>2.9678663802551406</v>
      </c>
      <c r="H21" s="1">
        <f t="shared" si="2"/>
        <v>2977</v>
      </c>
      <c r="I21" s="1">
        <f t="shared" si="1"/>
        <v>8853.6</v>
      </c>
    </row>
    <row r="22" spans="1:9" ht="18">
      <c r="A22" s="29" t="s">
        <v>15</v>
      </c>
      <c r="B22" s="49">
        <v>230.4</v>
      </c>
      <c r="C22" s="50">
        <v>690.8</v>
      </c>
      <c r="D22" s="51">
        <f>111</f>
        <v>111</v>
      </c>
      <c r="E22" s="1">
        <f>D22/D17*100</f>
        <v>0.8206295929381496</v>
      </c>
      <c r="F22" s="1">
        <f t="shared" si="3"/>
        <v>48.17708333333333</v>
      </c>
      <c r="G22" s="1">
        <f t="shared" si="0"/>
        <v>16.06832657788072</v>
      </c>
      <c r="H22" s="1">
        <f t="shared" si="2"/>
        <v>119.4</v>
      </c>
      <c r="I22" s="1">
        <f t="shared" si="1"/>
        <v>579.8</v>
      </c>
    </row>
    <row r="23" spans="1:9" ht="18.75" thickBot="1">
      <c r="A23" s="29" t="s">
        <v>35</v>
      </c>
      <c r="B23" s="50">
        <f>B17-B18-B19-B20-B21-B22</f>
        <v>1771.299999999998</v>
      </c>
      <c r="C23" s="50">
        <f>C17-C18-C19-C20-C21-C22</f>
        <v>5037.000000000003</v>
      </c>
      <c r="D23" s="50">
        <f>D17-D18-D19-D20-D21-D22</f>
        <v>613.5000000000007</v>
      </c>
      <c r="E23" s="1">
        <f>D23/D17*100</f>
        <v>4.535641939347346</v>
      </c>
      <c r="F23" s="1">
        <f t="shared" si="3"/>
        <v>34.6355783887541</v>
      </c>
      <c r="G23" s="1">
        <f t="shared" si="0"/>
        <v>12.179868969624783</v>
      </c>
      <c r="H23" s="1">
        <f t="shared" si="2"/>
        <v>1157.7999999999972</v>
      </c>
      <c r="I23" s="1">
        <f t="shared" si="1"/>
        <v>4423.500000000002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6167</v>
      </c>
      <c r="C31" s="53">
        <v>18501.1</v>
      </c>
      <c r="D31" s="57">
        <f>1251.6+285.2+60+12.3+10.8+1064.6+3.2+0.1-0.1+22.2+396.9+163.2</f>
        <v>3269.9999999999995</v>
      </c>
      <c r="E31" s="3">
        <f>D31/D137*100</f>
        <v>6.557192959940964</v>
      </c>
      <c r="F31" s="3">
        <f>D31/B31*100</f>
        <v>53.024160856169935</v>
      </c>
      <c r="G31" s="3">
        <f t="shared" si="0"/>
        <v>17.67462475204177</v>
      </c>
      <c r="H31" s="3">
        <f t="shared" si="2"/>
        <v>2897.0000000000005</v>
      </c>
      <c r="I31" s="3">
        <f t="shared" si="1"/>
        <v>15231.099999999999</v>
      </c>
    </row>
    <row r="32" spans="1:9" ht="18">
      <c r="A32" s="29" t="s">
        <v>3</v>
      </c>
      <c r="B32" s="49">
        <v>4561</v>
      </c>
      <c r="C32" s="50">
        <v>13995.2</v>
      </c>
      <c r="D32" s="51">
        <f>1216.2+1064.6-0.1</f>
        <v>2280.7000000000003</v>
      </c>
      <c r="E32" s="1">
        <f>D32/D31*100</f>
        <v>69.74617737003061</v>
      </c>
      <c r="F32" s="1">
        <f t="shared" si="3"/>
        <v>50.00438500328875</v>
      </c>
      <c r="G32" s="1">
        <f t="shared" si="0"/>
        <v>16.29630158911627</v>
      </c>
      <c r="H32" s="1">
        <f t="shared" si="2"/>
        <v>2280.2999999999997</v>
      </c>
      <c r="I32" s="1">
        <f t="shared" si="1"/>
        <v>11714.5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450.7</v>
      </c>
      <c r="C34" s="50">
        <v>1028.8</v>
      </c>
      <c r="D34" s="51">
        <f>6.5+2.8+10.2+0.8+23.6</f>
        <v>43.900000000000006</v>
      </c>
      <c r="E34" s="1">
        <f>D34/D31*100</f>
        <v>1.3425076452599392</v>
      </c>
      <c r="F34" s="1">
        <f t="shared" si="3"/>
        <v>9.74040381628578</v>
      </c>
      <c r="G34" s="1">
        <f t="shared" si="0"/>
        <v>4.267107309486781</v>
      </c>
      <c r="H34" s="1">
        <f t="shared" si="2"/>
        <v>406.79999999999995</v>
      </c>
      <c r="I34" s="1">
        <f t="shared" si="1"/>
        <v>984.9</v>
      </c>
    </row>
    <row r="35" spans="1:9" s="44" customFormat="1" ht="18.75">
      <c r="A35" s="23" t="s">
        <v>7</v>
      </c>
      <c r="B35" s="58">
        <v>72.7</v>
      </c>
      <c r="C35" s="59">
        <v>218.1</v>
      </c>
      <c r="D35" s="60">
        <f>19+12.3+0.1+11.9</f>
        <v>43.300000000000004</v>
      </c>
      <c r="E35" s="19">
        <f>D35/D31*100</f>
        <v>1.3241590214067283</v>
      </c>
      <c r="F35" s="19">
        <f t="shared" si="3"/>
        <v>59.559834938101794</v>
      </c>
      <c r="G35" s="19">
        <f t="shared" si="0"/>
        <v>19.8532783127006</v>
      </c>
      <c r="H35" s="19">
        <f t="shared" si="2"/>
        <v>29.4</v>
      </c>
      <c r="I35" s="19">
        <f t="shared" si="1"/>
        <v>174.79999999999998</v>
      </c>
    </row>
    <row r="36" spans="1:9" ht="18">
      <c r="A36" s="29" t="s">
        <v>15</v>
      </c>
      <c r="B36" s="49">
        <v>6.8</v>
      </c>
      <c r="C36" s="50">
        <v>17</v>
      </c>
      <c r="D36" s="50">
        <f>3.4</f>
        <v>3.4</v>
      </c>
      <c r="E36" s="1">
        <f>D36/D31*100</f>
        <v>0.10397553516819573</v>
      </c>
      <c r="F36" s="1">
        <f t="shared" si="3"/>
        <v>50</v>
      </c>
      <c r="G36" s="1">
        <f t="shared" si="0"/>
        <v>20</v>
      </c>
      <c r="H36" s="1">
        <f t="shared" si="2"/>
        <v>3.4</v>
      </c>
      <c r="I36" s="1">
        <f t="shared" si="1"/>
        <v>13.6</v>
      </c>
    </row>
    <row r="37" spans="1:9" ht="18.75" thickBot="1">
      <c r="A37" s="29" t="s">
        <v>35</v>
      </c>
      <c r="B37" s="49">
        <f>B31-B32-B34-B35-B33-B36</f>
        <v>1075.8</v>
      </c>
      <c r="C37" s="49">
        <f>C31-C32-C34-C35-C33-C36</f>
        <v>3241.9999999999977</v>
      </c>
      <c r="D37" s="49">
        <f>D31-D32-D34-D35-D33-D36</f>
        <v>898.6999999999994</v>
      </c>
      <c r="E37" s="1">
        <f>D37/D31*100</f>
        <v>27.483180428134542</v>
      </c>
      <c r="F37" s="1">
        <f t="shared" si="3"/>
        <v>83.53783231083838</v>
      </c>
      <c r="G37" s="1">
        <f t="shared" si="0"/>
        <v>27.72054287476866</v>
      </c>
      <c r="H37" s="1">
        <f>B37-D37</f>
        <v>177.1000000000006</v>
      </c>
      <c r="I37" s="1">
        <f t="shared" si="1"/>
        <v>2343.2999999999984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113.2</v>
      </c>
      <c r="C41" s="53">
        <v>339.7</v>
      </c>
      <c r="D41" s="54">
        <f>17.7+12.2</f>
        <v>29.9</v>
      </c>
      <c r="E41" s="3">
        <f>D41/D137*100</f>
        <v>0.05995720779884857</v>
      </c>
      <c r="F41" s="3">
        <f>D41/B41*100</f>
        <v>26.413427561837455</v>
      </c>
      <c r="G41" s="3">
        <f t="shared" si="0"/>
        <v>8.801884015307625</v>
      </c>
      <c r="H41" s="3">
        <f t="shared" si="2"/>
        <v>83.30000000000001</v>
      </c>
      <c r="I41" s="3">
        <f t="shared" si="1"/>
        <v>309.8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1017.5</v>
      </c>
      <c r="C43" s="53">
        <v>3052.6</v>
      </c>
      <c r="D43" s="54">
        <f>193+223+8.7</f>
        <v>424.7</v>
      </c>
      <c r="E43" s="3">
        <f>D43/D137*100</f>
        <v>0.8516329816779595</v>
      </c>
      <c r="F43" s="3">
        <f>D43/B43*100</f>
        <v>41.73955773955774</v>
      </c>
      <c r="G43" s="3">
        <f aca="true" t="shared" si="4" ref="G43:G73">D43/C43*100</f>
        <v>13.912730131691017</v>
      </c>
      <c r="H43" s="3">
        <f>B43-D43</f>
        <v>592.8</v>
      </c>
      <c r="I43" s="3">
        <f aca="true" t="shared" si="5" ref="I43:I74">C43-D43</f>
        <v>2627.9</v>
      </c>
    </row>
    <row r="44" spans="1:9" ht="18">
      <c r="A44" s="29" t="s">
        <v>3</v>
      </c>
      <c r="B44" s="49">
        <v>870.8</v>
      </c>
      <c r="C44" s="50">
        <v>2678.6</v>
      </c>
      <c r="D44" s="51">
        <f>193+222.7+1.6</f>
        <v>417.3</v>
      </c>
      <c r="E44" s="1">
        <f>D44/D43*100</f>
        <v>98.25759359547916</v>
      </c>
      <c r="F44" s="1">
        <f aca="true" t="shared" si="6" ref="F44:F71">D44/B44*100</f>
        <v>47.921451538814885</v>
      </c>
      <c r="G44" s="1">
        <f t="shared" si="4"/>
        <v>15.579033823639216</v>
      </c>
      <c r="H44" s="1">
        <f aca="true" t="shared" si="7" ref="H44:H71">B44-D44</f>
        <v>453.49999999999994</v>
      </c>
      <c r="I44" s="1">
        <f t="shared" si="5"/>
        <v>2261.2999999999997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19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6.8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6.8</v>
      </c>
      <c r="I46" s="1">
        <f t="shared" si="5"/>
        <v>28.6</v>
      </c>
    </row>
    <row r="47" spans="1:9" ht="18">
      <c r="A47" s="29" t="s">
        <v>0</v>
      </c>
      <c r="B47" s="49">
        <v>119.3</v>
      </c>
      <c r="C47" s="50">
        <v>259.9</v>
      </c>
      <c r="D47" s="51">
        <f>4.7</f>
        <v>4.7</v>
      </c>
      <c r="E47" s="1">
        <f>D47/D43*100</f>
        <v>1.1066635271956675</v>
      </c>
      <c r="F47" s="1">
        <f t="shared" si="6"/>
        <v>3.9396479463537304</v>
      </c>
      <c r="G47" s="1">
        <f t="shared" si="4"/>
        <v>1.8083878414774917</v>
      </c>
      <c r="H47" s="1">
        <f t="shared" si="7"/>
        <v>114.6</v>
      </c>
      <c r="I47" s="1">
        <f t="shared" si="5"/>
        <v>255.2</v>
      </c>
    </row>
    <row r="48" spans="1:9" ht="18.75" thickBot="1">
      <c r="A48" s="29" t="s">
        <v>35</v>
      </c>
      <c r="B48" s="50">
        <f>B43-B44-B47-B46-B45</f>
        <v>20.600000000000048</v>
      </c>
      <c r="C48" s="50">
        <f>C43-C44-C47-C46-C45</f>
        <v>84.80000000000003</v>
      </c>
      <c r="D48" s="50">
        <f>D43-D44-D47-D46-D45</f>
        <v>2.699999999999977</v>
      </c>
      <c r="E48" s="1">
        <f>D48/D43*100</f>
        <v>0.6357428773251653</v>
      </c>
      <c r="F48" s="1">
        <f t="shared" si="6"/>
        <v>13.106796116504713</v>
      </c>
      <c r="G48" s="1">
        <f t="shared" si="4"/>
        <v>3.1839622641509155</v>
      </c>
      <c r="H48" s="1">
        <f t="shared" si="7"/>
        <v>17.90000000000007</v>
      </c>
      <c r="I48" s="1">
        <f t="shared" si="5"/>
        <v>82.10000000000005</v>
      </c>
    </row>
    <row r="49" spans="1:9" ht="18.75" thickBot="1">
      <c r="A49" s="28" t="s">
        <v>4</v>
      </c>
      <c r="B49" s="52">
        <v>2017.5</v>
      </c>
      <c r="C49" s="53">
        <v>6052.6</v>
      </c>
      <c r="D49" s="54">
        <f>260.4+84.2+35.2+27.7+429.5+47.7+9.2+7.6</f>
        <v>901.5000000000001</v>
      </c>
      <c r="E49" s="3">
        <f>D49/D137*100</f>
        <v>1.8077398940020732</v>
      </c>
      <c r="F49" s="3">
        <f>D49/B49*100</f>
        <v>44.684014869888486</v>
      </c>
      <c r="G49" s="3">
        <f t="shared" si="4"/>
        <v>14.894425536133232</v>
      </c>
      <c r="H49" s="3">
        <f>B49-D49</f>
        <v>1116</v>
      </c>
      <c r="I49" s="3">
        <f t="shared" si="5"/>
        <v>5151.1</v>
      </c>
    </row>
    <row r="50" spans="1:9" ht="18">
      <c r="A50" s="29" t="s">
        <v>3</v>
      </c>
      <c r="B50" s="49">
        <v>1407</v>
      </c>
      <c r="C50" s="50">
        <v>4220.9</v>
      </c>
      <c r="D50" s="51">
        <f>260.4+390.2+0.1</f>
        <v>650.6999999999999</v>
      </c>
      <c r="E50" s="1">
        <f>D50/D49*100</f>
        <v>72.17970049916804</v>
      </c>
      <c r="F50" s="1">
        <f t="shared" si="6"/>
        <v>46.247334754797436</v>
      </c>
      <c r="G50" s="1">
        <f t="shared" si="4"/>
        <v>15.41614347650975</v>
      </c>
      <c r="H50" s="1">
        <f t="shared" si="7"/>
        <v>756.3000000000001</v>
      </c>
      <c r="I50" s="1">
        <f t="shared" si="5"/>
        <v>3570.2</v>
      </c>
    </row>
    <row r="51" spans="1:9" ht="18" hidden="1">
      <c r="A51" s="29" t="s">
        <v>2</v>
      </c>
      <c r="B51" s="49"/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17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17</v>
      </c>
      <c r="I52" s="1">
        <f t="shared" si="5"/>
        <v>104</v>
      </c>
    </row>
    <row r="53" spans="1:9" ht="18">
      <c r="A53" s="29" t="s">
        <v>0</v>
      </c>
      <c r="B53" s="49">
        <v>95.9</v>
      </c>
      <c r="C53" s="50">
        <v>236.3</v>
      </c>
      <c r="D53" s="51">
        <f>1.1+7.6</f>
        <v>8.7</v>
      </c>
      <c r="E53" s="1">
        <f>D53/D49*100</f>
        <v>0.9650582362728785</v>
      </c>
      <c r="F53" s="1">
        <f t="shared" si="6"/>
        <v>9.071949947862356</v>
      </c>
      <c r="G53" s="1">
        <f t="shared" si="4"/>
        <v>3.6817604739737617</v>
      </c>
      <c r="H53" s="1">
        <f t="shared" si="7"/>
        <v>87.2</v>
      </c>
      <c r="I53" s="1">
        <f t="shared" si="5"/>
        <v>227.60000000000002</v>
      </c>
    </row>
    <row r="54" spans="1:9" ht="18.75" thickBot="1">
      <c r="A54" s="29" t="s">
        <v>35</v>
      </c>
      <c r="B54" s="50">
        <f>B49-B50-B53-B52-B51</f>
        <v>497.6</v>
      </c>
      <c r="C54" s="50">
        <f>C49-C50-C53-C52-C51</f>
        <v>1491.4000000000008</v>
      </c>
      <c r="D54" s="50">
        <f>D49-D50-D53-D52-D51</f>
        <v>242.1000000000002</v>
      </c>
      <c r="E54" s="1">
        <f>D54/D49*100</f>
        <v>26.855241264559087</v>
      </c>
      <c r="F54" s="1">
        <f t="shared" si="6"/>
        <v>48.653536977491996</v>
      </c>
      <c r="G54" s="1">
        <f t="shared" si="4"/>
        <v>16.23306959903447</v>
      </c>
      <c r="H54" s="1">
        <f t="shared" si="7"/>
        <v>255.49999999999983</v>
      </c>
      <c r="I54" s="1">
        <f>C54-D54</f>
        <v>1249.3000000000006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523.3</v>
      </c>
      <c r="C56" s="53">
        <v>1570</v>
      </c>
      <c r="D56" s="54">
        <f>36.1+65.6+6.5+0.4+1.3</f>
        <v>109.89999999999999</v>
      </c>
      <c r="E56" s="3">
        <f>D56/D137*100</f>
        <v>0.220377830672022</v>
      </c>
      <c r="F56" s="3">
        <f>D56/B56*100</f>
        <v>21.001337664819417</v>
      </c>
      <c r="G56" s="3">
        <f t="shared" si="4"/>
        <v>6.999999999999999</v>
      </c>
      <c r="H56" s="3">
        <f>B56-D56</f>
        <v>413.4</v>
      </c>
      <c r="I56" s="3">
        <f t="shared" si="5"/>
        <v>1460.1</v>
      </c>
    </row>
    <row r="57" spans="1:9" ht="18">
      <c r="A57" s="29" t="s">
        <v>3</v>
      </c>
      <c r="B57" s="49">
        <v>272.5</v>
      </c>
      <c r="C57" s="50">
        <v>839</v>
      </c>
      <c r="D57" s="51">
        <f>36.1+65.6</f>
        <v>101.69999999999999</v>
      </c>
      <c r="E57" s="1">
        <f>D57/D56*100</f>
        <v>92.53867151956324</v>
      </c>
      <c r="F57" s="1">
        <f t="shared" si="6"/>
        <v>37.32110091743119</v>
      </c>
      <c r="G57" s="1">
        <f t="shared" si="4"/>
        <v>12.121573301549462</v>
      </c>
      <c r="H57" s="1">
        <f t="shared" si="7"/>
        <v>170.8</v>
      </c>
      <c r="I57" s="1">
        <f t="shared" si="5"/>
        <v>737.3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19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137.2</v>
      </c>
      <c r="C59" s="50">
        <v>255</v>
      </c>
      <c r="D59" s="51">
        <f>1.3</f>
        <v>1.3</v>
      </c>
      <c r="E59" s="1">
        <f>D59/D56*100</f>
        <v>1.1828935395814377</v>
      </c>
      <c r="F59" s="1">
        <f t="shared" si="6"/>
        <v>0.9475218658892128</v>
      </c>
      <c r="G59" s="1">
        <f t="shared" si="4"/>
        <v>0.5098039215686275</v>
      </c>
      <c r="H59" s="1">
        <f t="shared" si="7"/>
        <v>135.89999999999998</v>
      </c>
      <c r="I59" s="1">
        <f t="shared" si="5"/>
        <v>253.7</v>
      </c>
    </row>
    <row r="60" spans="1:9" ht="18">
      <c r="A60" s="29" t="s">
        <v>15</v>
      </c>
      <c r="B60" s="49">
        <v>89.2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89.2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24.399999999999963</v>
      </c>
      <c r="C61" s="50">
        <f>C56-C57-C59-C60-C58</f>
        <v>88.19999999999997</v>
      </c>
      <c r="D61" s="50">
        <f>D56-D57-D59-D60-D58</f>
        <v>6.900000000000003</v>
      </c>
      <c r="E61" s="1">
        <f>D61/D56*100</f>
        <v>6.278434940855327</v>
      </c>
      <c r="F61" s="1">
        <f t="shared" si="6"/>
        <v>28.27868852459022</v>
      </c>
      <c r="G61" s="1">
        <f t="shared" si="4"/>
        <v>7.823129251700686</v>
      </c>
      <c r="H61" s="1">
        <f t="shared" si="7"/>
        <v>17.49999999999996</v>
      </c>
      <c r="I61" s="1">
        <f t="shared" si="5"/>
        <v>81.29999999999997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58.4</v>
      </c>
      <c r="C66" s="53">
        <f>C67+C68</f>
        <v>175.1</v>
      </c>
      <c r="D66" s="54">
        <f>SUM(D67:D68)</f>
        <v>0.2</v>
      </c>
      <c r="E66" s="42">
        <f>D66/D137*100</f>
        <v>0.00040105155718293356</v>
      </c>
      <c r="F66" s="113">
        <f>D66/B66*100</f>
        <v>0.34246575342465757</v>
      </c>
      <c r="G66" s="3">
        <f t="shared" si="4"/>
        <v>0.1142204454597373</v>
      </c>
      <c r="H66" s="3">
        <f>B66-D66</f>
        <v>58.199999999999996</v>
      </c>
      <c r="I66" s="3">
        <f t="shared" si="5"/>
        <v>174.9</v>
      </c>
    </row>
    <row r="67" spans="1:9" ht="18">
      <c r="A67" s="29" t="s">
        <v>8</v>
      </c>
      <c r="B67" s="49">
        <v>32.3</v>
      </c>
      <c r="C67" s="50">
        <v>96.8</v>
      </c>
      <c r="D67" s="51">
        <f>0.2</f>
        <v>0.2</v>
      </c>
      <c r="E67" s="1">
        <f>D67/D66*100</f>
        <v>100</v>
      </c>
      <c r="F67" s="1">
        <f t="shared" si="6"/>
        <v>0.6191950464396286</v>
      </c>
      <c r="G67" s="1">
        <f t="shared" si="4"/>
        <v>0.2066115702479339</v>
      </c>
      <c r="H67" s="1">
        <f t="shared" si="7"/>
        <v>32.099999999999994</v>
      </c>
      <c r="I67" s="1">
        <f t="shared" si="5"/>
        <v>96.6</v>
      </c>
    </row>
    <row r="68" spans="1:9" ht="18.75" thickBot="1">
      <c r="A68" s="29" t="s">
        <v>9</v>
      </c>
      <c r="B68" s="49">
        <v>26.1</v>
      </c>
      <c r="C68" s="50">
        <v>78.3</v>
      </c>
      <c r="D68" s="51"/>
      <c r="E68" s="1">
        <f>D68/D67*100</f>
        <v>0</v>
      </c>
      <c r="F68" s="1">
        <f t="shared" si="6"/>
        <v>0</v>
      </c>
      <c r="G68" s="1">
        <f t="shared" si="4"/>
        <v>0</v>
      </c>
      <c r="H68" s="1">
        <f t="shared" si="7"/>
        <v>26.1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66.7</v>
      </c>
      <c r="C74" s="69">
        <v>200</v>
      </c>
      <c r="D74" s="70"/>
      <c r="E74" s="48"/>
      <c r="F74" s="48"/>
      <c r="G74" s="48"/>
      <c r="H74" s="48">
        <f>B74-D74</f>
        <v>66.7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7337.9</v>
      </c>
      <c r="C87" s="53">
        <v>22013.7</v>
      </c>
      <c r="D87" s="54">
        <f>1173.8+37.3+101.8+9.7+15.1+2.5+6.1+25.2+161.9+1262.3+173.1+14.9+67.5+0.1+74.5+11.5+2</f>
        <v>3139.2999999999997</v>
      </c>
      <c r="E87" s="3">
        <f>D87/D137*100</f>
        <v>6.295105767321917</v>
      </c>
      <c r="F87" s="3">
        <f aca="true" t="shared" si="10" ref="F87:F92">D87/B87*100</f>
        <v>42.78199484866242</v>
      </c>
      <c r="G87" s="3">
        <f t="shared" si="8"/>
        <v>14.260664949554139</v>
      </c>
      <c r="H87" s="3">
        <f aca="true" t="shared" si="11" ref="H87:H92">B87-D87</f>
        <v>4198.6</v>
      </c>
      <c r="I87" s="3">
        <f t="shared" si="9"/>
        <v>18874.4</v>
      </c>
    </row>
    <row r="88" spans="1:9" ht="18">
      <c r="A88" s="29" t="s">
        <v>3</v>
      </c>
      <c r="B88" s="49">
        <v>6148.5</v>
      </c>
      <c r="C88" s="50">
        <v>18547.4</v>
      </c>
      <c r="D88" s="51">
        <f>1167.3+36.1+0.8+0.4+161.9+1233.6+154.1+3-0.1+4.3+0.5</f>
        <v>2761.9</v>
      </c>
      <c r="E88" s="1">
        <f>D88/D87*100</f>
        <v>87.97821170324596</v>
      </c>
      <c r="F88" s="1">
        <f t="shared" si="10"/>
        <v>44.919899162397336</v>
      </c>
      <c r="G88" s="1">
        <f t="shared" si="8"/>
        <v>14.891035940347432</v>
      </c>
      <c r="H88" s="1">
        <f t="shared" si="11"/>
        <v>3386.6</v>
      </c>
      <c r="I88" s="1">
        <f t="shared" si="9"/>
        <v>15785.500000000002</v>
      </c>
    </row>
    <row r="89" spans="1:9" ht="18">
      <c r="A89" s="29" t="s">
        <v>33</v>
      </c>
      <c r="B89" s="49">
        <v>514.9</v>
      </c>
      <c r="C89" s="50">
        <v>1179</v>
      </c>
      <c r="D89" s="51">
        <f>15.4+0.6</f>
        <v>16</v>
      </c>
      <c r="E89" s="1">
        <f>D89/D87*100</f>
        <v>0.5096677603287357</v>
      </c>
      <c r="F89" s="1">
        <f t="shared" si="10"/>
        <v>3.107399495047582</v>
      </c>
      <c r="G89" s="1">
        <f t="shared" si="8"/>
        <v>1.3570822731128074</v>
      </c>
      <c r="H89" s="1">
        <f t="shared" si="11"/>
        <v>498.9</v>
      </c>
      <c r="I89" s="1">
        <f t="shared" si="9"/>
        <v>1163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674.4999999999997</v>
      </c>
      <c r="C91" s="50">
        <f>C87-C88-C89-C90</f>
        <v>2287.2999999999993</v>
      </c>
      <c r="D91" s="50">
        <f>D87-D88-D89-D90</f>
        <v>361.39999999999964</v>
      </c>
      <c r="E91" s="1">
        <f>D91/D87*100</f>
        <v>11.512120536425307</v>
      </c>
      <c r="F91" s="1">
        <f t="shared" si="10"/>
        <v>53.58042994810969</v>
      </c>
      <c r="G91" s="1">
        <f>D91/C91*100</f>
        <v>15.800288549818553</v>
      </c>
      <c r="H91" s="1">
        <f t="shared" si="11"/>
        <v>313.1</v>
      </c>
      <c r="I91" s="1">
        <f>C91-D91</f>
        <v>1925.8999999999996</v>
      </c>
    </row>
    <row r="92" spans="1:9" ht="19.5" thickBot="1">
      <c r="A92" s="14" t="s">
        <v>12</v>
      </c>
      <c r="B92" s="61">
        <v>7115.4</v>
      </c>
      <c r="C92" s="72">
        <v>21346.2</v>
      </c>
      <c r="D92" s="54">
        <f>3479.6+8.1+4.1+53.2+1101.8</f>
        <v>4646.799999999999</v>
      </c>
      <c r="E92" s="3">
        <f>D92/D137*100</f>
        <v>9.318031879588277</v>
      </c>
      <c r="F92" s="3">
        <f t="shared" si="10"/>
        <v>65.3062371757034</v>
      </c>
      <c r="G92" s="3">
        <f>D92/C92*100</f>
        <v>21.768745725234464</v>
      </c>
      <c r="H92" s="3">
        <f t="shared" si="11"/>
        <v>2468.6000000000004</v>
      </c>
      <c r="I92" s="3">
        <f>C92-D92</f>
        <v>16699.4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1068.8</v>
      </c>
      <c r="C98" s="106">
        <v>3206.4</v>
      </c>
      <c r="D98" s="91">
        <f>110.5+80.7+66.2</f>
        <v>257.4</v>
      </c>
      <c r="E98" s="25">
        <f>D98/D137*100</f>
        <v>0.5161533540944354</v>
      </c>
      <c r="F98" s="25">
        <f>D98/B98*100</f>
        <v>24.083083832335326</v>
      </c>
      <c r="G98" s="25">
        <f aca="true" t="shared" si="12" ref="G98:G135">D98/C98*100</f>
        <v>8.027694610778441</v>
      </c>
      <c r="H98" s="25">
        <f aca="true" t="shared" si="13" ref="H98:H103">B98-D98</f>
        <v>811.4</v>
      </c>
      <c r="I98" s="25">
        <f aca="true" t="shared" si="14" ref="I98:I135">C98-D98</f>
        <v>2949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>
        <f>D99/D98*100</f>
        <v>0</v>
      </c>
      <c r="F99" s="119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995.6</v>
      </c>
      <c r="C100" s="51">
        <v>2957.6</v>
      </c>
      <c r="D100" s="51">
        <f>110.3+80.7+66.2</f>
        <v>257.2</v>
      </c>
      <c r="E100" s="1">
        <f>D100/D98*100</f>
        <v>99.92229992229993</v>
      </c>
      <c r="F100" s="1">
        <f aca="true" t="shared" si="15" ref="F100:F135">D100/B100*100</f>
        <v>25.833668139815185</v>
      </c>
      <c r="G100" s="1">
        <f t="shared" si="12"/>
        <v>8.696240194752502</v>
      </c>
      <c r="H100" s="1">
        <f t="shared" si="13"/>
        <v>738.4000000000001</v>
      </c>
      <c r="I100" s="1">
        <f t="shared" si="14"/>
        <v>2700.4</v>
      </c>
    </row>
    <row r="101" spans="1:9" ht="54.75" hidden="1" thickBot="1">
      <c r="A101" s="99" t="s">
        <v>103</v>
      </c>
      <c r="B101" s="101"/>
      <c r="C101" s="101"/>
      <c r="D101" s="101"/>
      <c r="E101" s="97">
        <f>D101/D98*100</f>
        <v>0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73.19999999999993</v>
      </c>
      <c r="C102" s="101">
        <f>C98-C99-C100</f>
        <v>225.20000000000027</v>
      </c>
      <c r="D102" s="101">
        <f>D98-D99-D100</f>
        <v>0.19999999999998863</v>
      </c>
      <c r="E102" s="97">
        <f>D102/D98*100</f>
        <v>0.07770007770007328</v>
      </c>
      <c r="F102" s="97">
        <f t="shared" si="15"/>
        <v>0.27322404371583175</v>
      </c>
      <c r="G102" s="97">
        <f t="shared" si="12"/>
        <v>0.08880994671402681</v>
      </c>
      <c r="H102" s="97">
        <f>B102-D102</f>
        <v>72.99999999999994</v>
      </c>
      <c r="I102" s="97">
        <f t="shared" si="14"/>
        <v>225.00000000000028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7180.3</v>
      </c>
      <c r="C103" s="94">
        <f>SUM(C104:C134)-C111-C115+C135-C130-C131-C105-C108-C118-C119</f>
        <v>13880.6</v>
      </c>
      <c r="D103" s="94">
        <f>SUM(D104:D134)-D111-D115+D135-D130-D131-D105-D108-D118-D119</f>
        <v>2007.1000000000001</v>
      </c>
      <c r="E103" s="95">
        <f>D103/D137*100</f>
        <v>4.024752902109331</v>
      </c>
      <c r="F103" s="95">
        <f>D103/B103*100</f>
        <v>27.95287104995613</v>
      </c>
      <c r="G103" s="95">
        <f t="shared" si="12"/>
        <v>14.459749578548479</v>
      </c>
      <c r="H103" s="95">
        <f t="shared" si="13"/>
        <v>5173.2</v>
      </c>
      <c r="I103" s="95">
        <f t="shared" si="14"/>
        <v>11873.5</v>
      </c>
    </row>
    <row r="104" spans="1:9" ht="37.5">
      <c r="A104" s="34" t="s">
        <v>68</v>
      </c>
      <c r="B104" s="79">
        <v>308.4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308.4</v>
      </c>
      <c r="I104" s="6">
        <f t="shared" si="14"/>
        <v>834.9</v>
      </c>
    </row>
    <row r="105" spans="1:9" ht="18">
      <c r="A105" s="29" t="s">
        <v>33</v>
      </c>
      <c r="B105" s="82">
        <v>225.2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225.2</v>
      </c>
      <c r="I105" s="1">
        <f t="shared" si="14"/>
        <v>466</v>
      </c>
    </row>
    <row r="106" spans="1:9" ht="34.5" customHeight="1">
      <c r="A106" s="17" t="s">
        <v>102</v>
      </c>
      <c r="B106" s="81">
        <v>142.9</v>
      </c>
      <c r="C106" s="68">
        <v>428.7</v>
      </c>
      <c r="D106" s="80">
        <f>20.7</f>
        <v>20.7</v>
      </c>
      <c r="E106" s="6">
        <f>D106/D103*100</f>
        <v>1.0313387474465645</v>
      </c>
      <c r="F106" s="6">
        <f>D106/B106*100</f>
        <v>14.485654303708886</v>
      </c>
      <c r="G106" s="6">
        <f t="shared" si="12"/>
        <v>4.828551434569629</v>
      </c>
      <c r="H106" s="6">
        <f t="shared" si="16"/>
        <v>122.2</v>
      </c>
      <c r="I106" s="6">
        <f t="shared" si="14"/>
        <v>408</v>
      </c>
    </row>
    <row r="107" spans="1:9" ht="34.5" customHeight="1">
      <c r="A107" s="17" t="s">
        <v>77</v>
      </c>
      <c r="B107" s="81">
        <v>10.6</v>
      </c>
      <c r="C107" s="68">
        <v>31.8</v>
      </c>
      <c r="D107" s="80">
        <f>5.3</f>
        <v>5.3</v>
      </c>
      <c r="E107" s="6">
        <f>D107/D103*100</f>
        <v>0.2640625778486373</v>
      </c>
      <c r="F107" s="6">
        <f t="shared" si="15"/>
        <v>50</v>
      </c>
      <c r="G107" s="6">
        <f t="shared" si="12"/>
        <v>16.666666666666664</v>
      </c>
      <c r="H107" s="6">
        <f t="shared" si="16"/>
        <v>5.3</v>
      </c>
      <c r="I107" s="6">
        <f t="shared" si="14"/>
        <v>26.5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11</v>
      </c>
      <c r="C109" s="68">
        <v>33</v>
      </c>
      <c r="D109" s="80">
        <f>5.5</f>
        <v>5.5</v>
      </c>
      <c r="E109" s="6">
        <f>D109/D103*100</f>
        <v>0.27402720342783116</v>
      </c>
      <c r="F109" s="6">
        <f t="shared" si="15"/>
        <v>50</v>
      </c>
      <c r="G109" s="6">
        <f t="shared" si="12"/>
        <v>16.666666666666664</v>
      </c>
      <c r="H109" s="6">
        <f t="shared" si="16"/>
        <v>5.5</v>
      </c>
      <c r="I109" s="6">
        <f t="shared" si="14"/>
        <v>27.5</v>
      </c>
    </row>
    <row r="110" spans="1:9" ht="37.5">
      <c r="A110" s="17" t="s">
        <v>47</v>
      </c>
      <c r="B110" s="81">
        <v>175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175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40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40</v>
      </c>
      <c r="I113" s="6">
        <f t="shared" si="14"/>
        <v>120</v>
      </c>
    </row>
    <row r="114" spans="1:9" s="2" customFormat="1" ht="18.75">
      <c r="A114" s="17" t="s">
        <v>16</v>
      </c>
      <c r="B114" s="81">
        <v>30.1</v>
      </c>
      <c r="C114" s="60">
        <v>90.2</v>
      </c>
      <c r="D114" s="80">
        <f>1.6+18.3</f>
        <v>19.900000000000002</v>
      </c>
      <c r="E114" s="6">
        <f>D114/D103*100</f>
        <v>0.9914802451297894</v>
      </c>
      <c r="F114" s="6">
        <f t="shared" si="15"/>
        <v>66.11295681063123</v>
      </c>
      <c r="G114" s="6">
        <f t="shared" si="12"/>
        <v>22.06208425720621</v>
      </c>
      <c r="H114" s="6">
        <f t="shared" si="16"/>
        <v>10.2</v>
      </c>
      <c r="I114" s="6">
        <f t="shared" si="14"/>
        <v>70.3</v>
      </c>
    </row>
    <row r="115" spans="1:9" s="39" customFormat="1" ht="18">
      <c r="A115" s="40" t="s">
        <v>54</v>
      </c>
      <c r="B115" s="82">
        <v>26.9</v>
      </c>
      <c r="C115" s="51">
        <v>80.8</v>
      </c>
      <c r="D115" s="83">
        <f>16.7</f>
        <v>16.7</v>
      </c>
      <c r="E115" s="1"/>
      <c r="F115" s="1">
        <f t="shared" si="15"/>
        <v>62.0817843866171</v>
      </c>
      <c r="G115" s="1">
        <f t="shared" si="12"/>
        <v>20.668316831683168</v>
      </c>
      <c r="H115" s="1">
        <f t="shared" si="16"/>
        <v>10.2</v>
      </c>
      <c r="I115" s="1">
        <f t="shared" si="14"/>
        <v>64.1</v>
      </c>
    </row>
    <row r="116" spans="1:9" s="2" customFormat="1" ht="18.75">
      <c r="A116" s="17" t="s">
        <v>25</v>
      </c>
      <c r="B116" s="81">
        <v>55.9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55.9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131.9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131.9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11.7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11.7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283.4</v>
      </c>
      <c r="C120" s="60">
        <v>850</v>
      </c>
      <c r="D120" s="84">
        <f>21+0.9</f>
        <v>21.9</v>
      </c>
      <c r="E120" s="19">
        <f>D120/D103*100</f>
        <v>1.0911265009217277</v>
      </c>
      <c r="F120" s="6">
        <f t="shared" si="15"/>
        <v>7.727593507410021</v>
      </c>
      <c r="G120" s="6">
        <f t="shared" si="12"/>
        <v>2.576470588235294</v>
      </c>
      <c r="H120" s="6">
        <f t="shared" si="16"/>
        <v>261.5</v>
      </c>
      <c r="I120" s="6">
        <f t="shared" si="14"/>
        <v>828.1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8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8</v>
      </c>
      <c r="I123" s="6">
        <f t="shared" si="14"/>
        <v>25</v>
      </c>
    </row>
    <row r="124" spans="1:9" s="2" customFormat="1" ht="37.5">
      <c r="A124" s="17" t="s">
        <v>80</v>
      </c>
      <c r="B124" s="81">
        <v>14.1</v>
      </c>
      <c r="C124" s="60">
        <v>42.4</v>
      </c>
      <c r="D124" s="84">
        <f>3</f>
        <v>3</v>
      </c>
      <c r="E124" s="19">
        <f>D124/D103*100</f>
        <v>0.1494693836879079</v>
      </c>
      <c r="F124" s="6">
        <f t="shared" si="15"/>
        <v>21.27659574468085</v>
      </c>
      <c r="G124" s="6">
        <f t="shared" si="12"/>
        <v>7.0754716981132075</v>
      </c>
      <c r="H124" s="6">
        <f t="shared" si="16"/>
        <v>11.1</v>
      </c>
      <c r="I124" s="6">
        <f t="shared" si="14"/>
        <v>39.4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120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11.3</v>
      </c>
      <c r="C126" s="60">
        <v>33.8</v>
      </c>
      <c r="D126" s="84">
        <f>5.6</f>
        <v>5.6</v>
      </c>
      <c r="E126" s="19">
        <f>D126/D103*100</f>
        <v>0.2790095162174281</v>
      </c>
      <c r="F126" s="6">
        <f t="shared" si="15"/>
        <v>49.5575221238938</v>
      </c>
      <c r="G126" s="6">
        <f t="shared" si="12"/>
        <v>16.56804733727811</v>
      </c>
      <c r="H126" s="6">
        <f t="shared" si="16"/>
        <v>5.700000000000001</v>
      </c>
      <c r="I126" s="6">
        <f t="shared" si="14"/>
        <v>28.199999999999996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8.4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8.4</v>
      </c>
      <c r="I128" s="6">
        <f t="shared" si="14"/>
        <v>25.2</v>
      </c>
    </row>
    <row r="129" spans="1:9" s="2" customFormat="1" ht="18.75">
      <c r="A129" s="17" t="s">
        <v>32</v>
      </c>
      <c r="B129" s="81">
        <v>144.7</v>
      </c>
      <c r="C129" s="60">
        <v>434.1</v>
      </c>
      <c r="D129" s="84">
        <f>21.9+41.8+0.1+6.1</f>
        <v>69.89999999999999</v>
      </c>
      <c r="E129" s="19">
        <f>D129/D103*100</f>
        <v>3.4826366399282542</v>
      </c>
      <c r="F129" s="6">
        <f t="shared" si="15"/>
        <v>48.30684174153421</v>
      </c>
      <c r="G129" s="6">
        <f t="shared" si="12"/>
        <v>16.1022805805114</v>
      </c>
      <c r="H129" s="6">
        <f t="shared" si="16"/>
        <v>74.8</v>
      </c>
      <c r="I129" s="6">
        <f t="shared" si="14"/>
        <v>364.20000000000005</v>
      </c>
    </row>
    <row r="130" spans="1:9" s="39" customFormat="1" ht="18">
      <c r="A130" s="40" t="s">
        <v>54</v>
      </c>
      <c r="B130" s="82">
        <v>124.6</v>
      </c>
      <c r="C130" s="51">
        <v>373.7</v>
      </c>
      <c r="D130" s="83">
        <f>21.9+39.7+0.1+6.1</f>
        <v>67.8</v>
      </c>
      <c r="E130" s="1">
        <f>D130/D129*100</f>
        <v>96.99570815450645</v>
      </c>
      <c r="F130" s="1">
        <f>D130/B130*100</f>
        <v>54.41412520064205</v>
      </c>
      <c r="G130" s="1">
        <f t="shared" si="12"/>
        <v>18.14289537061814</v>
      </c>
      <c r="H130" s="1">
        <f t="shared" si="16"/>
        <v>56.8</v>
      </c>
      <c r="I130" s="1">
        <f t="shared" si="14"/>
        <v>305.9</v>
      </c>
    </row>
    <row r="131" spans="1:9" s="39" customFormat="1" ht="18">
      <c r="A131" s="29" t="s">
        <v>33</v>
      </c>
      <c r="B131" s="82">
        <v>13.4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13.4</v>
      </c>
      <c r="I131" s="1">
        <f t="shared" si="14"/>
        <v>21.5</v>
      </c>
    </row>
    <row r="132" spans="1:9" s="2" customFormat="1" ht="18.75">
      <c r="A132" s="17" t="s">
        <v>27</v>
      </c>
      <c r="B132" s="81">
        <v>2094</v>
      </c>
      <c r="C132" s="60">
        <v>4188</v>
      </c>
      <c r="D132" s="84"/>
      <c r="E132" s="19">
        <f>D132/D103*100</f>
        <v>0</v>
      </c>
      <c r="F132" s="120">
        <f t="shared" si="15"/>
        <v>0</v>
      </c>
      <c r="G132" s="6">
        <f t="shared" si="12"/>
        <v>0</v>
      </c>
      <c r="H132" s="6">
        <f t="shared" si="16"/>
        <v>2094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108</v>
      </c>
      <c r="B135" s="81">
        <f>1855.3+1855.3</f>
        <v>3710.6</v>
      </c>
      <c r="C135" s="60">
        <v>5565.9</v>
      </c>
      <c r="D135" s="84">
        <f>1236.9+618.4</f>
        <v>1855.3000000000002</v>
      </c>
      <c r="E135" s="19">
        <f>D135/D103*100</f>
        <v>92.43684918539185</v>
      </c>
      <c r="F135" s="6">
        <f t="shared" si="15"/>
        <v>50.000000000000014</v>
      </c>
      <c r="G135" s="6">
        <f t="shared" si="12"/>
        <v>33.333333333333336</v>
      </c>
      <c r="H135" s="6">
        <f t="shared" si="16"/>
        <v>1855.2999999999997</v>
      </c>
      <c r="I135" s="6">
        <f t="shared" si="14"/>
        <v>3710.5999999999995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8487.4</v>
      </c>
      <c r="C136" s="85">
        <f>C41+C66+C69+C74+C76+C84+C98+C103+C96+C81+C94</f>
        <v>17801.8</v>
      </c>
      <c r="D136" s="60">
        <f>D41+D66+D69+D74+D76+D84+D98+D103+D96+D81+D94</f>
        <v>2294.6000000000004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114939.59999999999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49868.90000000001</v>
      </c>
      <c r="E137" s="38">
        <v>100</v>
      </c>
      <c r="F137" s="3">
        <f>D137/B137*100</f>
        <v>43.38704850199584</v>
      </c>
      <c r="G137" s="3">
        <f aca="true" t="shared" si="17" ref="G137:G143">D137/C137*100</f>
        <v>14.790914672305949</v>
      </c>
      <c r="H137" s="3">
        <f aca="true" t="shared" si="18" ref="H137:H143">B137-D137</f>
        <v>65070.69999999998</v>
      </c>
      <c r="I137" s="3">
        <f aca="true" t="shared" si="19" ref="I137:I143">C137-D137</f>
        <v>287290.0999999999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80650.40000000001</v>
      </c>
      <c r="C138" s="67">
        <f>C7+C18+C32+C50+C57+C88+C111+C115+C44+C130</f>
        <v>242851.6</v>
      </c>
      <c r="D138" s="67">
        <f>D7+D18+D32+D50+D57+D88+D111+D115+D44+D130</f>
        <v>37796.5</v>
      </c>
      <c r="E138" s="6">
        <f>D138/D137*100</f>
        <v>75.79172590532374</v>
      </c>
      <c r="F138" s="6">
        <f aca="true" t="shared" si="20" ref="F138:F149">D138/B138*100</f>
        <v>46.864615674565776</v>
      </c>
      <c r="G138" s="6">
        <f t="shared" si="17"/>
        <v>15.56361992261941</v>
      </c>
      <c r="H138" s="6">
        <f t="shared" si="18"/>
        <v>42853.90000000001</v>
      </c>
      <c r="I138" s="18">
        <f t="shared" si="19"/>
        <v>205055.1</v>
      </c>
      <c r="K138" s="46"/>
      <c r="L138" s="47"/>
    </row>
    <row r="139" spans="1:12" ht="18.75">
      <c r="A139" s="23" t="s">
        <v>0</v>
      </c>
      <c r="B139" s="68">
        <f>B10+B21+B34+B53+B59+B89+B47+B131+B105+B108</f>
        <v>9789.7</v>
      </c>
      <c r="C139" s="68">
        <f>C10+C21+C34+C53+C59+C89+C47+C131+C105+C108</f>
        <v>27371.8</v>
      </c>
      <c r="D139" s="68">
        <f>D10+D21+D34+D53+D59+D89+D47+D131+D105+D108</f>
        <v>1457.2</v>
      </c>
      <c r="E139" s="6">
        <f>D139/D137*100</f>
        <v>2.922061645634854</v>
      </c>
      <c r="F139" s="6">
        <f t="shared" si="20"/>
        <v>14.885032227749573</v>
      </c>
      <c r="G139" s="6">
        <f t="shared" si="17"/>
        <v>5.323727339816893</v>
      </c>
      <c r="H139" s="6">
        <f t="shared" si="18"/>
        <v>8332.5</v>
      </c>
      <c r="I139" s="18">
        <f t="shared" si="19"/>
        <v>25914.6</v>
      </c>
      <c r="K139" s="46"/>
      <c r="L139" s="103"/>
    </row>
    <row r="140" spans="1:12" ht="18.75">
      <c r="A140" s="23" t="s">
        <v>1</v>
      </c>
      <c r="B140" s="67">
        <f>B20+B9+B52+B46+B58+B33+B99+B119</f>
        <v>3927.4</v>
      </c>
      <c r="C140" s="67">
        <f>C20+C9+C52+C46+C58+C33+C99+C119</f>
        <v>11964.400000000001</v>
      </c>
      <c r="D140" s="67">
        <f>D20+D9+D52+D46+D58+D33+D99+D119</f>
        <v>1412.2</v>
      </c>
      <c r="E140" s="6">
        <f>D140/D137*100</f>
        <v>2.831825045268694</v>
      </c>
      <c r="F140" s="6">
        <f t="shared" si="20"/>
        <v>35.95763100269899</v>
      </c>
      <c r="G140" s="6">
        <f t="shared" si="17"/>
        <v>11.803349938149843</v>
      </c>
      <c r="H140" s="6">
        <f t="shared" si="18"/>
        <v>2515.2</v>
      </c>
      <c r="I140" s="18">
        <f t="shared" si="19"/>
        <v>10552.2</v>
      </c>
      <c r="K140" s="46"/>
      <c r="L140" s="47"/>
    </row>
    <row r="141" spans="1:12" ht="21" customHeight="1">
      <c r="A141" s="23" t="s">
        <v>15</v>
      </c>
      <c r="B141" s="67">
        <f>B11+B22+B100+B60+B36+B90</f>
        <v>1345.1</v>
      </c>
      <c r="C141" s="67">
        <f>C11+C22+C100+C60+C36+C90</f>
        <v>4196.7</v>
      </c>
      <c r="D141" s="67">
        <f>D11+D22+D100+D60+D36+D90</f>
        <v>375.4</v>
      </c>
      <c r="E141" s="6">
        <f>D141/D137*100</f>
        <v>0.7527737728323664</v>
      </c>
      <c r="F141" s="6">
        <f t="shared" si="20"/>
        <v>27.90870567244071</v>
      </c>
      <c r="G141" s="6">
        <f t="shared" si="17"/>
        <v>8.945123549455525</v>
      </c>
      <c r="H141" s="6">
        <f t="shared" si="18"/>
        <v>969.6999999999999</v>
      </c>
      <c r="I141" s="18">
        <f t="shared" si="19"/>
        <v>3821.2999999999997</v>
      </c>
      <c r="K141" s="46"/>
      <c r="L141" s="103"/>
    </row>
    <row r="142" spans="1:12" ht="18.75">
      <c r="A142" s="23" t="s">
        <v>2</v>
      </c>
      <c r="B142" s="67">
        <f>B8+B19+B45+B51+B118</f>
        <v>758.0000000000001</v>
      </c>
      <c r="C142" s="67">
        <f>C8+C19+C45+C51+C118</f>
        <v>2641.3999999999996</v>
      </c>
      <c r="D142" s="67">
        <f>D8+D19+D45+D51+D118</f>
        <v>11</v>
      </c>
      <c r="E142" s="6">
        <f>D142/D137*100</f>
        <v>0.022057835645061346</v>
      </c>
      <c r="F142" s="6">
        <f t="shared" si="20"/>
        <v>1.451187335092348</v>
      </c>
      <c r="G142" s="6">
        <f t="shared" si="17"/>
        <v>0.41644582418414483</v>
      </c>
      <c r="H142" s="6">
        <f t="shared" si="18"/>
        <v>747.0000000000001</v>
      </c>
      <c r="I142" s="18">
        <f t="shared" si="19"/>
        <v>2630.3999999999996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18468.99999999998</v>
      </c>
      <c r="C143" s="67">
        <f>C137-C138-C139-C140-C141-C142</f>
        <v>48133.09999999993</v>
      </c>
      <c r="D143" s="67">
        <f>D137-D138-D139-D140-D141-D142</f>
        <v>8816.600000000008</v>
      </c>
      <c r="E143" s="6">
        <f>D143/D137*100</f>
        <v>17.679555795295276</v>
      </c>
      <c r="F143" s="6">
        <f t="shared" si="20"/>
        <v>47.73728951215559</v>
      </c>
      <c r="G143" s="43">
        <f t="shared" si="17"/>
        <v>18.317124806006717</v>
      </c>
      <c r="H143" s="6">
        <f t="shared" si="18"/>
        <v>9652.399999999974</v>
      </c>
      <c r="I143" s="6">
        <f t="shared" si="19"/>
        <v>39316.49999999993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2862.8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2862.8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1477.7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1477.7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119280.09999999999</v>
      </c>
      <c r="C154" s="91">
        <f>C137+C145+C149+C150+C146+C153+C152+C147+C151+C148</f>
        <v>350180.69999999995</v>
      </c>
      <c r="D154" s="91">
        <f>D137+D145+D149+D150+D146+D153+D152+D147+D151+D148</f>
        <v>49868.90000000001</v>
      </c>
      <c r="E154" s="25"/>
      <c r="F154" s="3">
        <f>D154/B154*100</f>
        <v>41.808231213756535</v>
      </c>
      <c r="G154" s="3">
        <f t="shared" si="21"/>
        <v>14.240904767167356</v>
      </c>
      <c r="H154" s="3">
        <f>B154-D154</f>
        <v>69411.19999999998</v>
      </c>
      <c r="I154" s="3">
        <f t="shared" si="22"/>
        <v>300311.79999999993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49868.90000000001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6" sqref="S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2" sqref="R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49868.90000000001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2015-01-30T11:07:32Z</cp:lastPrinted>
  <dcterms:created xsi:type="dcterms:W3CDTF">2000-06-20T04:48:00Z</dcterms:created>
  <dcterms:modified xsi:type="dcterms:W3CDTF">2015-02-05T06:07:48Z</dcterms:modified>
  <cp:category/>
  <cp:version/>
  <cp:contentType/>
  <cp:contentStatus/>
</cp:coreProperties>
</file>